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Code\goterbie\articles\vpr-excel\_ref\"/>
    </mc:Choice>
  </mc:AlternateContent>
  <xr:revisionPtr revIDLastSave="0" documentId="8_{8CCDE5EA-C04E-4E4F-89D8-C2AF3042FCD3}" xr6:coauthVersionLast="47" xr6:coauthVersionMax="47" xr10:uidLastSave="{00000000-0000-0000-0000-000000000000}"/>
  <bookViews>
    <workbookView xWindow="29235" yWindow="210" windowWidth="26775" windowHeight="15390" activeTab="1" xr2:uid="{E14597DC-9C90-4BE9-B51E-910223C01E58}"/>
  </bookViews>
  <sheets>
    <sheet name="Прайс" sheetId="6" r:id="rId1"/>
    <sheet name="Заказ" sheetId="5" r:id="rId2"/>
    <sheet name="Ошибки" sheetId="4" r:id="rId3"/>
    <sheet name="Скидки" sheetId="3" r:id="rId4"/>
    <sheet name="Влево" sheetId="2" r:id="rId5"/>
    <sheet name="Продажи" sheetId="1" r:id="rId6"/>
  </sheets>
  <calcPr calcId="191029"/>
  <pivotCaches>
    <pivotCache cacheId="5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D3" i="1"/>
  <c r="E3" i="1"/>
  <c r="D4" i="1"/>
  <c r="E4" i="1"/>
  <c r="D5" i="1"/>
  <c r="E5" i="1"/>
  <c r="D6" i="1"/>
  <c r="E6" i="1"/>
  <c r="D7" i="1"/>
  <c r="E7" i="1"/>
  <c r="E2" i="1"/>
  <c r="D2" i="1"/>
  <c r="F7" i="2"/>
  <c r="F6" i="2"/>
  <c r="B5" i="2"/>
  <c r="B4" i="2"/>
  <c r="B3" i="2"/>
  <c r="B2" i="2"/>
  <c r="L4" i="3"/>
  <c r="L3" i="3"/>
  <c r="L2" i="3"/>
  <c r="E5" i="3"/>
  <c r="E4" i="3"/>
  <c r="E3" i="3"/>
  <c r="E2" i="3"/>
  <c r="C11" i="4"/>
  <c r="C10" i="4"/>
  <c r="C9" i="4"/>
  <c r="C8" i="4"/>
  <c r="C7" i="4"/>
  <c r="C6" i="4"/>
  <c r="C5" i="4"/>
  <c r="C4" i="4"/>
  <c r="C3" i="4"/>
  <c r="C2" i="4"/>
  <c r="H3" i="5"/>
  <c r="H4" i="5"/>
  <c r="H5" i="5"/>
  <c r="H2" i="5"/>
  <c r="E3" i="5"/>
  <c r="F3" i="5"/>
  <c r="E4" i="5"/>
  <c r="F4" i="5"/>
  <c r="E5" i="5"/>
  <c r="F5" i="5"/>
  <c r="B3" i="5"/>
  <c r="C3" i="5"/>
  <c r="B4" i="5"/>
  <c r="C4" i="5"/>
  <c r="B5" i="5"/>
  <c r="C5" i="5"/>
  <c r="F2" i="5"/>
  <c r="C2" i="5"/>
  <c r="E2" i="5" s="1"/>
  <c r="E6" i="5" s="1"/>
  <c r="B2" i="5"/>
  <c r="M2" i="1"/>
  <c r="G7" i="2"/>
  <c r="G6" i="2"/>
  <c r="C5" i="2"/>
  <c r="C4" i="2"/>
  <c r="C3" i="2"/>
  <c r="C2" i="2"/>
  <c r="F5" i="3"/>
  <c r="F4" i="3"/>
  <c r="F3" i="3"/>
  <c r="F2" i="3"/>
  <c r="D11" i="4"/>
  <c r="D10" i="4"/>
  <c r="D9" i="4"/>
  <c r="D8" i="4"/>
  <c r="D7" i="4"/>
  <c r="D6" i="4"/>
  <c r="D5" i="4"/>
  <c r="D4" i="4"/>
  <c r="D3" i="4"/>
  <c r="D2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<sst xmlns="http://schemas.openxmlformats.org/spreadsheetml/2006/main" count="105" uniqueCount="63">
  <si>
    <t>Артикул</t>
  </si>
  <si>
    <t>Товар</t>
  </si>
  <si>
    <t>Цена, ₽</t>
  </si>
  <si>
    <t>Остаток</t>
  </si>
  <si>
    <t>A-101</t>
  </si>
  <si>
    <t>Кабель HDMI 2 м</t>
  </si>
  <si>
    <t>A-102</t>
  </si>
  <si>
    <t>Мышь беспроводная</t>
  </si>
  <si>
    <t>A-103</t>
  </si>
  <si>
    <t>Клавиатура</t>
  </si>
  <si>
    <t>A-104</t>
  </si>
  <si>
    <t>Флешка 64 ГБ</t>
  </si>
  <si>
    <t>A-105</t>
  </si>
  <si>
    <t>Удлинитель 5 розеток</t>
  </si>
  <si>
    <t>A-106</t>
  </si>
  <si>
    <t>Коврик для мыши</t>
  </si>
  <si>
    <t>A-107</t>
  </si>
  <si>
    <t>Веб-камера</t>
  </si>
  <si>
    <t>A-108</t>
  </si>
  <si>
    <t>Наушники</t>
  </si>
  <si>
    <t>Кол-во</t>
  </si>
  <si>
    <t>Сумма, ₽</t>
  </si>
  <si>
    <t>Наличие</t>
  </si>
  <si>
    <t>Итого</t>
  </si>
  <si>
    <t>Без $ (ошибка)</t>
  </si>
  <si>
    <t>Случай</t>
  </si>
  <si>
    <t>Искомое</t>
  </si>
  <si>
    <t>Результат</t>
  </si>
  <si>
    <t>Формула</t>
  </si>
  <si>
    <t>Артикула нет, ЛОЖЬ</t>
  </si>
  <si>
    <t>A-110</t>
  </si>
  <si>
    <t>Артикула нет, 4-й аргумент пропущен</t>
  </si>
  <si>
    <t>Номер столбца больше ширины таблицы</t>
  </si>
  <si>
    <t>Номер столбца 0</t>
  </si>
  <si>
    <t>Лишний пробел в конце</t>
  </si>
  <si>
    <t xml:space="preserve">A-103 </t>
  </si>
  <si>
    <t>То же через СЖПРОБЕЛЫ</t>
  </si>
  <si>
    <t>Нет в прайсе, ЕСЛИОШИБКА</t>
  </si>
  <si>
    <t>Код числом, ищем текст</t>
  </si>
  <si>
    <t>1002</t>
  </si>
  <si>
    <t>То же через --</t>
  </si>
  <si>
    <t>Код числом, ищем число</t>
  </si>
  <si>
    <t>Код</t>
  </si>
  <si>
    <t>Роутер</t>
  </si>
  <si>
    <t>Свитч</t>
  </si>
  <si>
    <t>Точка доступа</t>
  </si>
  <si>
    <t>Сумма от, ₽</t>
  </si>
  <si>
    <t>Скидка</t>
  </si>
  <si>
    <t>Сумма заказа, ₽</t>
  </si>
  <si>
    <t>Неотсортировано</t>
  </si>
  <si>
    <t>Сумма</t>
  </si>
  <si>
    <t>Ищем товар</t>
  </si>
  <si>
    <t>Монитор</t>
  </si>
  <si>
    <t>Клиент</t>
  </si>
  <si>
    <t>Иванов</t>
  </si>
  <si>
    <t>Петров</t>
  </si>
  <si>
    <t>Иванов: ВПР</t>
  </si>
  <si>
    <t>Иванов: ПРОСМОТРX с конца</t>
  </si>
  <si>
    <t>Дата</t>
  </si>
  <si>
    <t>Названия строк</t>
  </si>
  <si>
    <t>Общий итог</t>
  </si>
  <si>
    <t>Сумма по полю Сумма, ₽</t>
  </si>
  <si>
    <t>Выручка из сводной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</si>
</sst>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3" fontId="0" fillId="0" borderId="0" xfId="0" applyNumberFormat="1"/>
    <xf numFmtId="3" fontId="1" fillId="0" borderId="0" xfId="0" applyNumberFormat="1" applyFont="1"/>
    <xf numFmtId="49" fontId="0" fillId="0" borderId="0" xfId="0" applyNumberFormat="1"/>
    <xf numFmtId="9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Types" Target="richData/rdRichValueTyp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692735416669" createdVersion="6" refreshedVersion="8" minRefreshableVersion="3" recordCount="6" xr:uid="{B2C57089-8341-4F4B-80BB-6BFDA1C87A7A}">
  <cacheSource type="worksheet">
    <worksheetSource ref="A1:E7" sheet="Продажи"/>
  </cacheSource>
  <cacheFields count="5">
    <cacheField name="Дата" numFmtId="14">
      <sharedItems containsSemiMixedTypes="0" containsNonDate="0" containsDate="1" containsString="0" minDate="2026-10-01T00:00:00" maxDate="2026-10-04T00:00:00"/>
    </cacheField>
    <cacheField name="Артикул" numFmtId="0">
      <sharedItems/>
    </cacheField>
    <cacheField name="Кол-во" numFmtId="0">
      <sharedItems containsSemiMixedTypes="0" containsString="0" containsNumber="1" containsInteger="1" minValue="1" maxValue="5"/>
    </cacheField>
    <cacheField name="Товар" numFmtId="0">
      <sharedItems count="4">
        <s v="Кабель HDMI 2 м"/>
        <s v="Флешка 64 ГБ"/>
        <s v="Веб-камера"/>
        <s v="Наушники"/>
      </sharedItems>
    </cacheField>
    <cacheField name="Сумма, ₽" numFmtId="3">
      <sharedItems containsSemiMixedTypes="0" containsString="0" containsNumber="1" containsInteger="1" minValue="450" maxValue="35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d v="2026-10-01T00:00:00"/>
    <s v="A-101"/>
    <n v="2"/>
    <x v="0"/>
    <n v="900"/>
  </r>
  <r>
    <d v="2026-10-01T00:00:00"/>
    <s v="A-104"/>
    <n v="5"/>
    <x v="1"/>
    <n v="3450"/>
  </r>
  <r>
    <d v="2026-10-02T00:00:00"/>
    <s v="A-101"/>
    <n v="1"/>
    <x v="0"/>
    <n v="450"/>
  </r>
  <r>
    <d v="2026-10-02T00:00:00"/>
    <s v="A-107"/>
    <n v="1"/>
    <x v="2"/>
    <n v="2390"/>
  </r>
  <r>
    <d v="2026-10-03T00:00:00"/>
    <s v="A-104"/>
    <n v="3"/>
    <x v="1"/>
    <n v="2070"/>
  </r>
  <r>
    <d v="2026-10-03T00:00:00"/>
    <s v="A-108"/>
    <n v="2"/>
    <x v="3"/>
    <n v="35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729D33-77EA-448C-BDF6-861DE13F05FB}" name="Свод" cacheId="5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6" indent="0" outline="1" outlineData="1" multipleFieldFilters="0">
  <location ref="H1:I6" firstHeaderRow="1" firstDataRow="1" firstDataCol="1"/>
  <pivotFields count="5">
    <pivotField numFmtId="14" showAll="0"/>
    <pivotField showAll="0"/>
    <pivotField showAll="0"/>
    <pivotField axis="axisRow" showAll="0">
      <items count="5">
        <item x="2"/>
        <item x="0"/>
        <item x="3"/>
        <item x="1"/>
        <item t="default"/>
      </items>
    </pivotField>
    <pivotField dataField="1" numFmtId="3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Сумма по полю Сумма, ₽" fld="4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6C57-CA5D-4444-AF8A-1FAB97214754}">
  <dimension ref="A1:D9"/>
  <sheetViews>
    <sheetView workbookViewId="0"/>
  </sheetViews>
  <sheetFormatPr defaultRowHeight="15" x14ac:dyDescent="0.25"/>
  <cols>
    <col min="1" max="1" width="8.5703125" bestFit="1" customWidth="1"/>
    <col min="2" max="2" width="21.5703125" bestFit="1" customWidth="1"/>
    <col min="3" max="3" width="7.85546875" bestFit="1" customWidth="1"/>
    <col min="4" max="4" width="8.140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C2" s="3">
        <v>450</v>
      </c>
      <c r="D2">
        <v>12</v>
      </c>
    </row>
    <row r="3" spans="1:4" x14ac:dyDescent="0.25">
      <c r="A3" t="s">
        <v>6</v>
      </c>
      <c r="B3" t="s">
        <v>7</v>
      </c>
      <c r="C3" s="3">
        <v>890</v>
      </c>
      <c r="D3">
        <v>0</v>
      </c>
    </row>
    <row r="4" spans="1:4" x14ac:dyDescent="0.25">
      <c r="A4" t="s">
        <v>8</v>
      </c>
      <c r="B4" t="s">
        <v>9</v>
      </c>
      <c r="C4" s="3">
        <v>1490</v>
      </c>
      <c r="D4">
        <v>5</v>
      </c>
    </row>
    <row r="5" spans="1:4" x14ac:dyDescent="0.25">
      <c r="A5" t="s">
        <v>10</v>
      </c>
      <c r="B5" t="s">
        <v>11</v>
      </c>
      <c r="C5" s="3">
        <v>690</v>
      </c>
      <c r="D5">
        <v>20</v>
      </c>
    </row>
    <row r="6" spans="1:4" x14ac:dyDescent="0.25">
      <c r="A6" t="s">
        <v>12</v>
      </c>
      <c r="B6" t="s">
        <v>13</v>
      </c>
      <c r="C6" s="3">
        <v>1150</v>
      </c>
      <c r="D6">
        <v>3</v>
      </c>
    </row>
    <row r="7" spans="1:4" x14ac:dyDescent="0.25">
      <c r="A7" t="s">
        <v>14</v>
      </c>
      <c r="B7" t="s">
        <v>15</v>
      </c>
      <c r="C7" s="3">
        <v>250</v>
      </c>
      <c r="D7">
        <v>0</v>
      </c>
    </row>
    <row r="8" spans="1:4" x14ac:dyDescent="0.25">
      <c r="A8" t="s">
        <v>16</v>
      </c>
      <c r="B8" t="s">
        <v>17</v>
      </c>
      <c r="C8" s="3">
        <v>2390</v>
      </c>
      <c r="D8">
        <v>7</v>
      </c>
    </row>
    <row r="9" spans="1:4" x14ac:dyDescent="0.25">
      <c r="A9" t="s">
        <v>18</v>
      </c>
      <c r="B9" t="s">
        <v>19</v>
      </c>
      <c r="C9" s="3">
        <v>1790</v>
      </c>
      <c r="D9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AC8B-E22D-477E-A080-68663E177C01}">
  <dimension ref="A1:H6"/>
  <sheetViews>
    <sheetView tabSelected="1" workbookViewId="0"/>
  </sheetViews>
  <sheetFormatPr defaultRowHeight="15" x14ac:dyDescent="0.25"/>
  <cols>
    <col min="1" max="1" width="8.5703125" bestFit="1" customWidth="1"/>
    <col min="2" max="2" width="20.42578125" bestFit="1" customWidth="1"/>
    <col min="3" max="3" width="7.85546875" bestFit="1" customWidth="1"/>
    <col min="4" max="4" width="7.28515625" bestFit="1" customWidth="1"/>
    <col min="5" max="5" width="9.42578125" bestFit="1" customWidth="1"/>
    <col min="6" max="6" width="10.5703125" bestFit="1" customWidth="1"/>
    <col min="8" max="8" width="14.570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20</v>
      </c>
      <c r="E1" s="2" t="s">
        <v>21</v>
      </c>
      <c r="F1" s="2" t="s">
        <v>22</v>
      </c>
      <c r="H1" s="2" t="s">
        <v>24</v>
      </c>
    </row>
    <row r="2" spans="1:8" x14ac:dyDescent="0.25">
      <c r="A2" t="s">
        <v>10</v>
      </c>
      <c r="B2" t="str">
        <f>VLOOKUP(A2,Прайс!$A$2:$D$9,2,FALSE)</f>
        <v>Флешка 64 ГБ</v>
      </c>
      <c r="C2" s="3">
        <f>VLOOKUP(A2,Прайс!$A$2:$D$9,3,FALSE)</f>
        <v>690</v>
      </c>
      <c r="D2">
        <v>3</v>
      </c>
      <c r="E2" s="3">
        <f>C2*D2</f>
        <v>2070</v>
      </c>
      <c r="F2" t="str">
        <f>IF(VLOOKUP(A2,Прайс!$A$2:$D$9,4,FALSE)&gt;=D2,"в наличии","не хватает")</f>
        <v>в наличии</v>
      </c>
      <c r="H2" t="str">
        <f>VLOOKUP(A2,Прайс!A2:D9,2,FALSE)</f>
        <v>Флешка 64 ГБ</v>
      </c>
    </row>
    <row r="3" spans="1:8" x14ac:dyDescent="0.25">
      <c r="A3" t="s">
        <v>4</v>
      </c>
      <c r="B3" t="str">
        <f>VLOOKUP(A3,Прайс!$A$2:$D$9,2,FALSE)</f>
        <v>Кабель HDMI 2 м</v>
      </c>
      <c r="C3" s="3">
        <f>VLOOKUP(A3,Прайс!$A$2:$D$9,3,FALSE)</f>
        <v>450</v>
      </c>
      <c r="D3">
        <v>2</v>
      </c>
      <c r="E3" s="3">
        <f t="shared" ref="E3:E5" si="0">C3*D3</f>
        <v>900</v>
      </c>
      <c r="F3" t="str">
        <f>IF(VLOOKUP(A3,Прайс!$A$2:$D$9,4,FALSE)&gt;=D3,"в наличии","не хватает")</f>
        <v>в наличии</v>
      </c>
      <c r="H3" t="e">
        <f>VLOOKUP(A3,Прайс!A3:D10,2,FALSE)</f>
        <v>#N/A</v>
      </c>
    </row>
    <row r="4" spans="1:8" x14ac:dyDescent="0.25">
      <c r="A4" t="s">
        <v>16</v>
      </c>
      <c r="B4" t="str">
        <f>VLOOKUP(A4,Прайс!$A$2:$D$9,2,FALSE)</f>
        <v>Веб-камера</v>
      </c>
      <c r="C4" s="3">
        <f>VLOOKUP(A4,Прайс!$A$2:$D$9,3,FALSE)</f>
        <v>2390</v>
      </c>
      <c r="D4">
        <v>1</v>
      </c>
      <c r="E4" s="3">
        <f t="shared" si="0"/>
        <v>2390</v>
      </c>
      <c r="F4" t="str">
        <f>IF(VLOOKUP(A4,Прайс!$A$2:$D$9,4,FALSE)&gt;=D4,"в наличии","не хватает")</f>
        <v>в наличии</v>
      </c>
      <c r="H4" t="str">
        <f>VLOOKUP(A4,Прайс!A4:D11,2,FALSE)</f>
        <v>Веб-камера</v>
      </c>
    </row>
    <row r="5" spans="1:8" x14ac:dyDescent="0.25">
      <c r="A5" t="s">
        <v>6</v>
      </c>
      <c r="B5" t="str">
        <f>VLOOKUP(A5,Прайс!$A$2:$D$9,2,FALSE)</f>
        <v>Мышь беспроводная</v>
      </c>
      <c r="C5" s="3">
        <f>VLOOKUP(A5,Прайс!$A$2:$D$9,3,FALSE)</f>
        <v>890</v>
      </c>
      <c r="D5">
        <v>2</v>
      </c>
      <c r="E5" s="3">
        <f t="shared" si="0"/>
        <v>1780</v>
      </c>
      <c r="F5" t="str">
        <f>IF(VLOOKUP(A5,Прайс!$A$2:$D$9,4,FALSE)&gt;=D5,"в наличии","не хватает")</f>
        <v>не хватает</v>
      </c>
      <c r="H5" t="e">
        <f>VLOOKUP(A5,Прайс!A5:D12,2,FALSE)</f>
        <v>#N/A</v>
      </c>
    </row>
    <row r="6" spans="1:8" x14ac:dyDescent="0.25">
      <c r="D6" s="1" t="s">
        <v>23</v>
      </c>
      <c r="E6" s="4">
        <f>SUM(E2:E5)</f>
        <v>7140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A097C-A7AA-47C9-BDC9-6C5DFB18DDA4}">
  <dimension ref="A1:H11"/>
  <sheetViews>
    <sheetView workbookViewId="0"/>
  </sheetViews>
  <sheetFormatPr defaultRowHeight="15" x14ac:dyDescent="0.25"/>
  <cols>
    <col min="1" max="1" width="39.7109375" bestFit="1" customWidth="1"/>
    <col min="2" max="2" width="9.28515625" bestFit="1" customWidth="1"/>
    <col min="3" max="3" width="12.42578125" bestFit="1" customWidth="1"/>
    <col min="4" max="4" width="62.85546875" bestFit="1" customWidth="1"/>
    <col min="7" max="7" width="5" bestFit="1" customWidth="1"/>
    <col min="8" max="8" width="13.85546875" bestFit="1" customWidth="1"/>
  </cols>
  <sheetData>
    <row r="1" spans="1:8" x14ac:dyDescent="0.25">
      <c r="A1" s="2" t="s">
        <v>25</v>
      </c>
      <c r="B1" s="2" t="s">
        <v>26</v>
      </c>
      <c r="C1" s="2" t="s">
        <v>27</v>
      </c>
      <c r="D1" s="2" t="s">
        <v>28</v>
      </c>
      <c r="G1" s="2" t="s">
        <v>42</v>
      </c>
      <c r="H1" s="2" t="s">
        <v>1</v>
      </c>
    </row>
    <row r="2" spans="1:8" x14ac:dyDescent="0.25">
      <c r="A2" t="s">
        <v>29</v>
      </c>
      <c r="B2" t="s">
        <v>30</v>
      </c>
      <c r="C2" t="e">
        <f>VLOOKUP(B2,Прайс!$A$2:$D$9,2,FALSE)</f>
        <v>#N/A</v>
      </c>
      <c r="D2" t="str">
        <f ca="1">_xlfn.FORMULATEXT(C2)</f>
        <v>=ВПР(B2;Прайс!$A$2:$D$9;2;ЛОЖЬ)</v>
      </c>
      <c r="G2">
        <v>1001</v>
      </c>
      <c r="H2" t="s">
        <v>43</v>
      </c>
    </row>
    <row r="3" spans="1:8" x14ac:dyDescent="0.25">
      <c r="A3" t="s">
        <v>31</v>
      </c>
      <c r="B3" t="s">
        <v>30</v>
      </c>
      <c r="C3" t="str">
        <f>VLOOKUP(B3,Прайс!$A$2:$D$9,2)</f>
        <v>Наушники</v>
      </c>
      <c r="D3" t="str">
        <f ca="1">_xlfn.FORMULATEXT(C3)</f>
        <v>=ВПР(B3;Прайс!$A$2:$D$9;2)</v>
      </c>
      <c r="G3">
        <v>1002</v>
      </c>
      <c r="H3" t="s">
        <v>44</v>
      </c>
    </row>
    <row r="4" spans="1:8" x14ac:dyDescent="0.25">
      <c r="A4" t="s">
        <v>32</v>
      </c>
      <c r="B4" t="s">
        <v>8</v>
      </c>
      <c r="C4" t="e">
        <f>VLOOKUP(B4,Прайс!$A$2:$D$9,5,FALSE)</f>
        <v>#REF!</v>
      </c>
      <c r="D4" t="str">
        <f ca="1">_xlfn.FORMULATEXT(C4)</f>
        <v>=ВПР(B4;Прайс!$A$2:$D$9;5;ЛОЖЬ)</v>
      </c>
      <c r="G4">
        <v>1003</v>
      </c>
      <c r="H4" t="s">
        <v>45</v>
      </c>
    </row>
    <row r="5" spans="1:8" x14ac:dyDescent="0.25">
      <c r="A5" t="s">
        <v>33</v>
      </c>
      <c r="B5" t="s">
        <v>8</v>
      </c>
      <c r="C5" t="e" vm="1">
        <f>VLOOKUP(B5,Прайс!$A$2:$D$9,0,FALSE)</f>
        <v>#VALUE!</v>
      </c>
      <c r="D5" t="str">
        <f ca="1">_xlfn.FORMULATEXT(C5)</f>
        <v>=ВПР(B5;Прайс!$A$2:$D$9;0;ЛОЖЬ)</v>
      </c>
    </row>
    <row r="6" spans="1:8" x14ac:dyDescent="0.25">
      <c r="A6" t="s">
        <v>34</v>
      </c>
      <c r="B6" t="s">
        <v>35</v>
      </c>
      <c r="C6" t="e">
        <f>VLOOKUP(B6,Прайс!$A$2:$D$9,2,FALSE)</f>
        <v>#N/A</v>
      </c>
      <c r="D6" t="str">
        <f ca="1">_xlfn.FORMULATEXT(C6)</f>
        <v>=ВПР(B6;Прайс!$A$2:$D$9;2;ЛОЖЬ)</v>
      </c>
    </row>
    <row r="7" spans="1:8" x14ac:dyDescent="0.25">
      <c r="A7" t="s">
        <v>36</v>
      </c>
      <c r="B7" t="s">
        <v>35</v>
      </c>
      <c r="C7" t="str">
        <f>VLOOKUP(TRIM(B7),Прайс!$A$2:$D$9,2,FALSE)</f>
        <v>Клавиатура</v>
      </c>
      <c r="D7" t="str">
        <f ca="1">_xlfn.FORMULATEXT(C7)</f>
        <v>=ВПР(СЖПРОБЕЛЫ(B7);Прайс!$A$2:$D$9;2;ЛОЖЬ)</v>
      </c>
    </row>
    <row r="8" spans="1:8" x14ac:dyDescent="0.25">
      <c r="A8" t="s">
        <v>37</v>
      </c>
      <c r="B8" t="s">
        <v>30</v>
      </c>
      <c r="C8" t="str">
        <f>IFERROR(VLOOKUP(B8,Прайс!$A$2:$D$9,2,FALSE),"нет в прайсе")</f>
        <v>нет в прайсе</v>
      </c>
      <c r="D8" t="str">
        <f ca="1">_xlfn.FORMULATEXT(C8)</f>
        <v>=ЕСЛИОШИБКА(ВПР(B8;Прайс!$A$2:$D$9;2;ЛОЖЬ);"нет в прайсе")</v>
      </c>
    </row>
    <row r="9" spans="1:8" x14ac:dyDescent="0.25">
      <c r="A9" t="s">
        <v>38</v>
      </c>
      <c r="B9" s="5" t="s">
        <v>39</v>
      </c>
      <c r="C9" t="e">
        <f>VLOOKUP(B9,$G$2:$H$4,2,FALSE)</f>
        <v>#N/A</v>
      </c>
      <c r="D9" t="str">
        <f ca="1">_xlfn.FORMULATEXT(C9)</f>
        <v>=ВПР(B9;$G$2:$H$4;2;ЛОЖЬ)</v>
      </c>
    </row>
    <row r="10" spans="1:8" x14ac:dyDescent="0.25">
      <c r="A10" t="s">
        <v>40</v>
      </c>
      <c r="B10" s="5" t="s">
        <v>39</v>
      </c>
      <c r="C10" t="str">
        <f>VLOOKUP(--B10,$G$2:$H$4,2,FALSE)</f>
        <v>Свитч</v>
      </c>
      <c r="D10" t="str">
        <f ca="1">_xlfn.FORMULATEXT(C10)</f>
        <v>=ВПР(--B10;$G$2:$H$4;2;ЛОЖЬ)</v>
      </c>
    </row>
    <row r="11" spans="1:8" x14ac:dyDescent="0.25">
      <c r="A11" t="s">
        <v>41</v>
      </c>
      <c r="B11">
        <v>1002</v>
      </c>
      <c r="C11" t="str">
        <f>VLOOKUP(B11,$G$2:$H$4,2,FALSE)</f>
        <v>Свитч</v>
      </c>
      <c r="D11" t="str">
        <f ca="1">_xlfn.FORMULATEXT(C11)</f>
        <v>=ВПР(B11;$G$2:$H$4;2;ЛОЖЬ)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3AAB8-3A3A-45FD-ADBD-DC88E09BD431}">
  <dimension ref="A1:L5"/>
  <sheetViews>
    <sheetView workbookViewId="0"/>
  </sheetViews>
  <sheetFormatPr defaultRowHeight="15" x14ac:dyDescent="0.25"/>
  <cols>
    <col min="1" max="1" width="11.85546875" bestFit="1" customWidth="1"/>
    <col min="2" max="2" width="7.5703125" bestFit="1" customWidth="1"/>
    <col min="4" max="4" width="15.7109375" bestFit="1" customWidth="1"/>
    <col min="5" max="5" width="7.5703125" bestFit="1" customWidth="1"/>
    <col min="6" max="6" width="29.140625" bestFit="1" customWidth="1"/>
    <col min="8" max="8" width="17.42578125" bestFit="1" customWidth="1"/>
    <col min="9" max="9" width="7.5703125" bestFit="1" customWidth="1"/>
    <col min="11" max="11" width="7.28515625" bestFit="1" customWidth="1"/>
    <col min="12" max="12" width="7.5703125" bestFit="1" customWidth="1"/>
  </cols>
  <sheetData>
    <row r="1" spans="1:12" x14ac:dyDescent="0.25">
      <c r="A1" s="2" t="s">
        <v>46</v>
      </c>
      <c r="B1" s="2" t="s">
        <v>47</v>
      </c>
      <c r="D1" s="2" t="s">
        <v>48</v>
      </c>
      <c r="E1" s="2" t="s">
        <v>47</v>
      </c>
      <c r="F1" s="2" t="s">
        <v>28</v>
      </c>
      <c r="H1" s="2" t="s">
        <v>49</v>
      </c>
      <c r="I1" s="2" t="s">
        <v>47</v>
      </c>
      <c r="K1" s="2" t="s">
        <v>50</v>
      </c>
      <c r="L1" s="2" t="s">
        <v>47</v>
      </c>
    </row>
    <row r="2" spans="1:12" x14ac:dyDescent="0.25">
      <c r="A2" s="3">
        <v>0</v>
      </c>
      <c r="B2" s="6">
        <v>0</v>
      </c>
      <c r="D2" s="3">
        <v>3200</v>
      </c>
      <c r="E2" s="6">
        <f>VLOOKUP(D2,$A$2:$B$5,2,TRUE)</f>
        <v>0</v>
      </c>
      <c r="F2" t="str">
        <f ca="1">_xlfn.FORMULATEXT(E2)</f>
        <v>=ВПР(D2;$A$2:$B$5;2;ИСТИНА)</v>
      </c>
      <c r="H2">
        <v>10000</v>
      </c>
      <c r="I2" s="6">
        <v>0.05</v>
      </c>
      <c r="K2">
        <v>3200</v>
      </c>
      <c r="L2" s="6">
        <f>VLOOKUP(K2,$H$2:$I$5,2,TRUE)</f>
        <v>0</v>
      </c>
    </row>
    <row r="3" spans="1:12" x14ac:dyDescent="0.25">
      <c r="A3" s="3">
        <v>5000</v>
      </c>
      <c r="B3" s="6">
        <v>0.03</v>
      </c>
      <c r="D3" s="3">
        <v>7500</v>
      </c>
      <c r="E3" s="6">
        <f>VLOOKUP(D3,$A$2:$B$5,2,TRUE)</f>
        <v>0.03</v>
      </c>
      <c r="F3" t="str">
        <f ca="1">_xlfn.FORMULATEXT(E3)</f>
        <v>=ВПР(D3;$A$2:$B$5;2;ИСТИНА)</v>
      </c>
      <c r="H3">
        <v>0</v>
      </c>
      <c r="I3" s="6">
        <v>0</v>
      </c>
      <c r="K3">
        <v>7500</v>
      </c>
      <c r="L3" s="6">
        <f>VLOOKUP(K3,$H$2:$I$5,2,TRUE)</f>
        <v>0</v>
      </c>
    </row>
    <row r="4" spans="1:12" x14ac:dyDescent="0.25">
      <c r="A4" s="3">
        <v>10000</v>
      </c>
      <c r="B4" s="6">
        <v>0.05</v>
      </c>
      <c r="D4" s="3">
        <v>10000</v>
      </c>
      <c r="E4" s="6">
        <f>VLOOKUP(D4,$A$2:$B$5,2,TRUE)</f>
        <v>0.05</v>
      </c>
      <c r="F4" t="str">
        <f ca="1">_xlfn.FORMULATEXT(E4)</f>
        <v>=ВПР(D4;$A$2:$B$5;2;ИСТИНА)</v>
      </c>
      <c r="H4">
        <v>20000</v>
      </c>
      <c r="I4" s="6">
        <v>7.0000000000000007E-2</v>
      </c>
      <c r="K4">
        <v>25000</v>
      </c>
      <c r="L4" s="6">
        <f>VLOOKUP(K4,$H$2:$I$5,2,TRUE)</f>
        <v>0.03</v>
      </c>
    </row>
    <row r="5" spans="1:12" x14ac:dyDescent="0.25">
      <c r="A5" s="3">
        <v>20000</v>
      </c>
      <c r="B5" s="6">
        <v>7.0000000000000007E-2</v>
      </c>
      <c r="D5" s="3">
        <v>25000</v>
      </c>
      <c r="E5" s="6">
        <f>VLOOKUP(D5,$A$2:$B$5,2,TRUE)</f>
        <v>7.0000000000000007E-2</v>
      </c>
      <c r="F5" t="str">
        <f ca="1">_xlfn.FORMULATEXT(E5)</f>
        <v>=ВПР(D5;$A$2:$B$5;2;ИСТИНА)</v>
      </c>
      <c r="H5">
        <v>5000</v>
      </c>
      <c r="I5" s="6">
        <v>0.03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9E8C-964B-4361-ABF8-AA1122A013E1}">
  <dimension ref="A1:G7"/>
  <sheetViews>
    <sheetView workbookViewId="0"/>
  </sheetViews>
  <sheetFormatPr defaultRowHeight="15" x14ac:dyDescent="0.25"/>
  <cols>
    <col min="1" max="1" width="12.42578125" bestFit="1" customWidth="1"/>
    <col min="2" max="2" width="8.5703125" bestFit="1" customWidth="1"/>
    <col min="3" max="3" width="59.42578125" bestFit="1" customWidth="1"/>
    <col min="5" max="5" width="27.85546875" bestFit="1" customWidth="1"/>
    <col min="6" max="6" width="9.42578125" bestFit="1" customWidth="1"/>
    <col min="7" max="7" width="52.28515625" bestFit="1" customWidth="1"/>
  </cols>
  <sheetData>
    <row r="1" spans="1:7" x14ac:dyDescent="0.25">
      <c r="A1" s="2" t="s">
        <v>51</v>
      </c>
      <c r="B1" s="2" t="s">
        <v>0</v>
      </c>
      <c r="C1" s="2" t="s">
        <v>28</v>
      </c>
      <c r="E1" s="2" t="s">
        <v>53</v>
      </c>
      <c r="F1" s="2" t="s">
        <v>21</v>
      </c>
    </row>
    <row r="2" spans="1:7" x14ac:dyDescent="0.25">
      <c r="A2" t="s">
        <v>17</v>
      </c>
      <c r="B2" t="str">
        <f>INDEX(Прайс!$A$2:$A$9,MATCH(A2,Прайс!$B$2:$B$9,0))</f>
        <v>A-107</v>
      </c>
      <c r="C2" t="str">
        <f ca="1">_xlfn.FORMULATEXT(B2)</f>
        <v>=ИНДЕКС(Прайс!$A$2:$A$9;ПОИСКПОЗ(A2;Прайс!$B$2:$B$9;0))</v>
      </c>
      <c r="E2" t="s">
        <v>54</v>
      </c>
      <c r="F2">
        <v>1200</v>
      </c>
    </row>
    <row r="3" spans="1:7" x14ac:dyDescent="0.25">
      <c r="A3" t="s">
        <v>17</v>
      </c>
      <c r="B3" t="str">
        <f>_xlfn.XLOOKUP(A3,Прайс!$B$2:$B$9,Прайс!$A$2:$A$9,"нет")</f>
        <v>A-107</v>
      </c>
      <c r="C3" t="str">
        <f ca="1">_xlfn.FORMULATEXT(B3)</f>
        <v>=ПРОСМОТРX(A3;Прайс!$B$2:$B$9;Прайс!$A$2:$A$9;"нет")</v>
      </c>
      <c r="E3" t="s">
        <v>55</v>
      </c>
      <c r="F3">
        <v>800</v>
      </c>
    </row>
    <row r="4" spans="1:7" x14ac:dyDescent="0.25">
      <c r="A4" t="s">
        <v>52</v>
      </c>
      <c r="B4" t="str">
        <f>_xlfn.XLOOKUP(A4,Прайс!$B$2:$B$9,Прайс!$A$2:$A$9,"нет")</f>
        <v>нет</v>
      </c>
      <c r="C4" t="str">
        <f ca="1">_xlfn.FORMULATEXT(B4)</f>
        <v>=ПРОСМОТРX(A4;Прайс!$B$2:$B$9;Прайс!$A$2:$A$9;"нет")</v>
      </c>
      <c r="E4" t="s">
        <v>54</v>
      </c>
      <c r="F4">
        <v>3500</v>
      </c>
    </row>
    <row r="5" spans="1:7" x14ac:dyDescent="0.25">
      <c r="A5" t="s">
        <v>17</v>
      </c>
      <c r="B5" t="e">
        <f>VLOOKUP(A5,Прайс!$A$2:$D$9,1,FALSE)</f>
        <v>#N/A</v>
      </c>
      <c r="C5" t="str">
        <f ca="1">_xlfn.FORMULATEXT(B5)</f>
        <v>=ВПР(A5;Прайс!$A$2:$D$9;1;ЛОЖЬ)</v>
      </c>
    </row>
    <row r="6" spans="1:7" x14ac:dyDescent="0.25">
      <c r="E6" t="s">
        <v>56</v>
      </c>
      <c r="F6">
        <f>VLOOKUP("Иванов",$E$2:$F$4,2,FALSE)</f>
        <v>1200</v>
      </c>
      <c r="G6" t="str">
        <f ca="1">_xlfn.FORMULATEXT(F6)</f>
        <v>=ВПР("Иванов";$E$2:$F$4;2;ЛОЖЬ)</v>
      </c>
    </row>
    <row r="7" spans="1:7" x14ac:dyDescent="0.25">
      <c r="E7" t="s">
        <v>57</v>
      </c>
      <c r="F7">
        <f>_xlfn.XLOOKUP("Иванов",$E$2:$E$4,$F$2:$F$4,"нет",0,-1)</f>
        <v>3500</v>
      </c>
      <c r="G7" t="str">
        <f ca="1">_xlfn.FORMULATEXT(F7)</f>
        <v>=ПРОСМОТРX("Иванов";$E$2:$E$4;$F$2:$F$4;"нет";0;-1)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148C1-58DC-4351-AB16-2E21A346C4C1}">
  <dimension ref="A1:M7"/>
  <sheetViews>
    <sheetView workbookViewId="0"/>
  </sheetViews>
  <sheetFormatPr defaultRowHeight="15" x14ac:dyDescent="0.25"/>
  <cols>
    <col min="1" max="1" width="10.140625" bestFit="1" customWidth="1"/>
    <col min="2" max="2" width="8.5703125" bestFit="1" customWidth="1"/>
    <col min="3" max="3" width="7.28515625" bestFit="1" customWidth="1"/>
    <col min="4" max="4" width="16.28515625" bestFit="1" customWidth="1"/>
    <col min="5" max="5" width="9.42578125" bestFit="1" customWidth="1"/>
    <col min="8" max="8" width="17.28515625" bestFit="1" customWidth="1"/>
    <col min="9" max="9" width="24.7109375" bestFit="1" customWidth="1"/>
    <col min="11" max="11" width="13.28515625" bestFit="1" customWidth="1"/>
    <col min="12" max="12" width="19.7109375" bestFit="1" customWidth="1"/>
    <col min="13" max="13" width="22.28515625" bestFit="1" customWidth="1"/>
  </cols>
  <sheetData>
    <row r="1" spans="1:13" x14ac:dyDescent="0.25">
      <c r="A1" s="2" t="s">
        <v>58</v>
      </c>
      <c r="B1" s="2" t="s">
        <v>0</v>
      </c>
      <c r="C1" s="2" t="s">
        <v>20</v>
      </c>
      <c r="D1" s="2" t="s">
        <v>1</v>
      </c>
      <c r="E1" s="2" t="s">
        <v>21</v>
      </c>
      <c r="H1" s="8" t="s">
        <v>59</v>
      </c>
      <c r="I1" t="s">
        <v>61</v>
      </c>
      <c r="K1" s="2" t="s">
        <v>1</v>
      </c>
      <c r="L1" s="2" t="s">
        <v>62</v>
      </c>
    </row>
    <row r="2" spans="1:13" x14ac:dyDescent="0.25">
      <c r="A2" s="7">
        <v>46296</v>
      </c>
      <c r="B2" t="s">
        <v>4</v>
      </c>
      <c r="C2">
        <v>2</v>
      </c>
      <c r="D2" t="str">
        <f>VLOOKUP(B2,Прайс!$A$2:$D$9,2,FALSE)</f>
        <v>Кабель HDMI 2 м</v>
      </c>
      <c r="E2" s="3">
        <f>C2*VLOOKUP(B2,Прайс!$A$2:$D$9,3,FALSE)</f>
        <v>900</v>
      </c>
      <c r="H2" s="9" t="s">
        <v>17</v>
      </c>
      <c r="I2" s="3">
        <v>2390</v>
      </c>
      <c r="K2" t="s">
        <v>11</v>
      </c>
      <c r="L2" s="3">
        <f>VLOOKUP(K2,$H:$I,2,FALSE)</f>
        <v>5520</v>
      </c>
      <c r="M2" t="str">
        <f ca="1">_xlfn.FORMULATEXT(L2)</f>
        <v>=ВПР(K2;$H:$I;2;ЛОЖЬ)</v>
      </c>
    </row>
    <row r="3" spans="1:13" x14ac:dyDescent="0.25">
      <c r="A3" s="7">
        <v>46296</v>
      </c>
      <c r="B3" t="s">
        <v>10</v>
      </c>
      <c r="C3">
        <v>5</v>
      </c>
      <c r="D3" t="str">
        <f>VLOOKUP(B3,Прайс!$A$2:$D$9,2,FALSE)</f>
        <v>Флешка 64 ГБ</v>
      </c>
      <c r="E3" s="3">
        <f>C3*VLOOKUP(B3,Прайс!$A$2:$D$9,3,FALSE)</f>
        <v>3450</v>
      </c>
      <c r="H3" s="9" t="s">
        <v>5</v>
      </c>
      <c r="I3" s="3">
        <v>1350</v>
      </c>
      <c r="K3" t="s">
        <v>19</v>
      </c>
      <c r="L3" s="3">
        <f>VLOOKUP(K3,$H:$I,2,FALSE)</f>
        <v>3580</v>
      </c>
    </row>
    <row r="4" spans="1:13" x14ac:dyDescent="0.25">
      <c r="A4" s="7">
        <v>46297</v>
      </c>
      <c r="B4" t="s">
        <v>4</v>
      </c>
      <c r="C4">
        <v>1</v>
      </c>
      <c r="D4" t="str">
        <f>VLOOKUP(B4,Прайс!$A$2:$D$9,2,FALSE)</f>
        <v>Кабель HDMI 2 м</v>
      </c>
      <c r="E4" s="3">
        <f>C4*VLOOKUP(B4,Прайс!$A$2:$D$9,3,FALSE)</f>
        <v>450</v>
      </c>
      <c r="H4" s="9" t="s">
        <v>19</v>
      </c>
      <c r="I4" s="3">
        <v>3580</v>
      </c>
    </row>
    <row r="5" spans="1:13" x14ac:dyDescent="0.25">
      <c r="A5" s="7">
        <v>46297</v>
      </c>
      <c r="B5" t="s">
        <v>16</v>
      </c>
      <c r="C5">
        <v>1</v>
      </c>
      <c r="D5" t="str">
        <f>VLOOKUP(B5,Прайс!$A$2:$D$9,2,FALSE)</f>
        <v>Веб-камера</v>
      </c>
      <c r="E5" s="3">
        <f>C5*VLOOKUP(B5,Прайс!$A$2:$D$9,3,FALSE)</f>
        <v>2390</v>
      </c>
      <c r="H5" s="9" t="s">
        <v>11</v>
      </c>
      <c r="I5" s="3">
        <v>5520</v>
      </c>
    </row>
    <row r="6" spans="1:13" x14ac:dyDescent="0.25">
      <c r="A6" s="7">
        <v>46298</v>
      </c>
      <c r="B6" t="s">
        <v>10</v>
      </c>
      <c r="C6">
        <v>3</v>
      </c>
      <c r="D6" t="str">
        <f>VLOOKUP(B6,Прайс!$A$2:$D$9,2,FALSE)</f>
        <v>Флешка 64 ГБ</v>
      </c>
      <c r="E6" s="3">
        <f>C6*VLOOKUP(B6,Прайс!$A$2:$D$9,3,FALSE)</f>
        <v>2070</v>
      </c>
      <c r="H6" s="9" t="s">
        <v>60</v>
      </c>
      <c r="I6" s="3">
        <v>12840</v>
      </c>
    </row>
    <row r="7" spans="1:13" x14ac:dyDescent="0.25">
      <c r="A7" s="7">
        <v>46298</v>
      </c>
      <c r="B7" t="s">
        <v>18</v>
      </c>
      <c r="C7">
        <v>2</v>
      </c>
      <c r="D7" t="str">
        <f>VLOOKUP(B7,Прайс!$A$2:$D$9,2,FALSE)</f>
        <v>Наушники</v>
      </c>
      <c r="E7" s="3">
        <f>C7*VLOOKUP(B7,Прайс!$A$2:$D$9,3,FALSE)</f>
        <v>3580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Прайс</vt:lpstr>
      <vt:lpstr>Заказ</vt:lpstr>
      <vt:lpstr>Ошибки</vt:lpstr>
      <vt:lpstr>Скидки</vt:lpstr>
      <vt:lpstr>Влево</vt:lpstr>
      <vt:lpstr>Продажи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Dr</dc:creator>
  <cp:lastModifiedBy>Alex Dr</cp:lastModifiedBy>
  <dcterms:created xsi:type="dcterms:W3CDTF">2026-10-02T13:37:31Z</dcterms:created>
  <dcterms:modified xsi:type="dcterms:W3CDTF">2026-10-02T13:37:32Z</dcterms:modified>
</cp:coreProperties>
</file>